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enabelbe.sharepoint.com/sites/PRJ_BEL_TDC/Shared Documents/R2_Capitalisation/Enquetes_etudes/2021_Export_cacao/4Execution/VersionFINALE/"/>
    </mc:Choice>
  </mc:AlternateContent>
  <xr:revisionPtr revIDLastSave="0" documentId="13_ncr:1_{979FC2C6-FC86-4A6E-9B09-FAAC6CCBDCAD}" xr6:coauthVersionLast="47" xr6:coauthVersionMax="47" xr10:uidLastSave="{00000000-0000-0000-0000-000000000000}"/>
  <bookViews>
    <workbookView xWindow="-120" yWindow="-120" windowWidth="29040" windowHeight="15840" xr2:uid="{76E06E74-C972-4702-925B-A92FE663A4DC}"/>
  </bookViews>
  <sheets>
    <sheet name="Marge variable vente locale" sheetId="1" r:id="rId1"/>
    <sheet name="marge variable export" sheetId="4" r:id="rId2"/>
    <sheet name="Calcul du BFR"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3" l="1"/>
  <c r="B16" i="3"/>
  <c r="B15" i="3"/>
  <c r="D15" i="3" s="1"/>
  <c r="B14" i="3"/>
  <c r="D14" i="3" s="1"/>
  <c r="B13" i="3"/>
  <c r="D13" i="3" s="1"/>
  <c r="B12" i="3"/>
  <c r="D12" i="3" s="1"/>
  <c r="B11" i="3"/>
  <c r="D11" i="3" s="1"/>
  <c r="B10" i="3"/>
  <c r="D10" i="3" s="1"/>
  <c r="B9" i="3"/>
  <c r="D9" i="3" s="1"/>
  <c r="C46" i="4"/>
  <c r="C47" i="4"/>
  <c r="C48" i="4"/>
  <c r="C45" i="4"/>
  <c r="D61" i="4"/>
  <c r="D60" i="4"/>
  <c r="D59" i="4"/>
  <c r="D58" i="4"/>
  <c r="C55" i="4"/>
  <c r="C54" i="4"/>
  <c r="C53" i="4"/>
  <c r="C44" i="4"/>
  <c r="C43" i="4"/>
  <c r="C42" i="4"/>
  <c r="C41" i="4"/>
  <c r="D18" i="1"/>
  <c r="B32" i="4"/>
  <c r="C18" i="4"/>
  <c r="B18" i="4"/>
  <c r="B7" i="4"/>
  <c r="B23" i="4" s="1"/>
  <c r="B16" i="4"/>
  <c r="C22" i="4"/>
  <c r="B8" i="4"/>
  <c r="C8" i="4" s="1"/>
  <c r="B18" i="3" l="1"/>
  <c r="D52" i="4"/>
  <c r="D40" i="4"/>
  <c r="D62" i="4" s="1"/>
  <c r="C7" i="4"/>
  <c r="C9" i="4" s="1"/>
  <c r="B24" i="4"/>
  <c r="B29" i="4"/>
  <c r="B30" i="4"/>
  <c r="B9" i="4"/>
  <c r="B28" i="4"/>
  <c r="C26" i="4"/>
  <c r="C25" i="4"/>
  <c r="C23" i="4"/>
  <c r="C21" i="4"/>
  <c r="C20" i="4"/>
  <c r="D65" i="4" l="1"/>
  <c r="C24" i="4"/>
  <c r="C30" i="4"/>
  <c r="C28" i="4"/>
  <c r="C29" i="4"/>
  <c r="B33" i="4"/>
  <c r="C17" i="4"/>
  <c r="D17" i="1"/>
  <c r="D16" i="1"/>
  <c r="D15" i="1"/>
  <c r="E14" i="1" s="1"/>
  <c r="B34" i="4" l="1"/>
  <c r="E12" i="1" l="1"/>
  <c r="E28" i="1" l="1"/>
  <c r="D24" i="1"/>
  <c r="D23" i="1"/>
  <c r="D22" i="1"/>
  <c r="E21" i="1" s="1"/>
  <c r="E27" i="1"/>
  <c r="E29" i="1" l="1"/>
  <c r="E33" i="1" s="1"/>
  <c r="D17" i="3" l="1"/>
  <c r="D16" i="3"/>
  <c r="E34" i="1" l="1"/>
  <c r="D19" i="3"/>
  <c r="C32" i="4" l="1"/>
  <c r="C33" i="4" l="1"/>
  <c r="C34" i="4" l="1"/>
  <c r="C77" i="4" s="1"/>
  <c r="D66" i="4" l="1"/>
</calcChain>
</file>

<file path=xl/sharedStrings.xml><?xml version="1.0" encoding="utf-8"?>
<sst xmlns="http://schemas.openxmlformats.org/spreadsheetml/2006/main" count="157" uniqueCount="80">
  <si>
    <t>Analyse financière</t>
  </si>
  <si>
    <t>1° partie : Evaluation de la marge nette de l'activité collecte et vente à un opérateur local</t>
  </si>
  <si>
    <t>Volume collecte</t>
  </si>
  <si>
    <t>Barème CCC</t>
  </si>
  <si>
    <t>Infos Coop</t>
  </si>
  <si>
    <t>Frais de collecte</t>
  </si>
  <si>
    <t>Transport vers site achat</t>
  </si>
  <si>
    <t>Marge variable Coopérative</t>
  </si>
  <si>
    <t>XOF/T</t>
  </si>
  <si>
    <t xml:space="preserve">Salaires et charges (17%) </t>
  </si>
  <si>
    <t xml:space="preserve">Frais fixes ramené sur un volume  de collecte annuel                                de 5000 tonnes /an    </t>
  </si>
  <si>
    <t>Directeur (840 000 XOF/mois)</t>
  </si>
  <si>
    <t>Agent comptable (420 000 XOF/mois)</t>
  </si>
  <si>
    <t xml:space="preserve">Agronome/ADG (250 000 XOF/mois) X 3 </t>
  </si>
  <si>
    <t>Magasinier (250 000 XOF/mois)</t>
  </si>
  <si>
    <t>Amortissements</t>
  </si>
  <si>
    <t>Magasin  (50 millions XOF sur 20 ans)</t>
  </si>
  <si>
    <t>Véhicules collecte (100 millions XOF sur 5 ans)</t>
  </si>
  <si>
    <t>Motos (2,4 millions de XOF sur 3 ans)</t>
  </si>
  <si>
    <t xml:space="preserve">Frais généraux </t>
  </si>
  <si>
    <t>Location bureau</t>
  </si>
  <si>
    <t>Fonctionnement ADG (motos et formations)</t>
  </si>
  <si>
    <t xml:space="preserve">Autres Frais généraux </t>
  </si>
  <si>
    <t>(eau, électricité, téléphonie et internet, …)</t>
  </si>
  <si>
    <t>Total frais fixes</t>
  </si>
  <si>
    <t>Marge nette</t>
  </si>
  <si>
    <t>2° partie : Evaluation de la marge nette de l'activité collecte et exportation directe</t>
  </si>
  <si>
    <t>Prix vente FOB</t>
  </si>
  <si>
    <t>Forfait trasnport</t>
  </si>
  <si>
    <t>Chiffre d'affaires</t>
  </si>
  <si>
    <t>Collecte</t>
  </si>
  <si>
    <t>Achat aux producteurs</t>
  </si>
  <si>
    <t>Frais collecte</t>
  </si>
  <si>
    <t>Usinage</t>
  </si>
  <si>
    <t>Transport vers site usinage</t>
  </si>
  <si>
    <t>Conditionnement en sacs export</t>
  </si>
  <si>
    <t>valorisation pertes 1%</t>
  </si>
  <si>
    <t>Mise à FOB</t>
  </si>
  <si>
    <t>Fumigation</t>
  </si>
  <si>
    <t>Frais de stockage port</t>
  </si>
  <si>
    <t xml:space="preserve">Freinte lors stockage </t>
  </si>
  <si>
    <t xml:space="preserve">Frais gestion (0,3% DUS) </t>
  </si>
  <si>
    <t>Frais caution banquaire (0,025% contrat)</t>
  </si>
  <si>
    <t>Mise à FOB (embarquement sacs en conteneur)</t>
  </si>
  <si>
    <t>Manutention et transport portuaires</t>
  </si>
  <si>
    <t>Taxes et droits de douanes</t>
  </si>
  <si>
    <t>DUS (14,6% contrat)</t>
  </si>
  <si>
    <t>Taxe enregistrement (1,5% contrat)</t>
  </si>
  <si>
    <t>Taxes parafiscales (1,945% Contrat)</t>
  </si>
  <si>
    <t>Frais Financiers</t>
  </si>
  <si>
    <t xml:space="preserve">Frais financiers </t>
  </si>
  <si>
    <t>Total frais variables</t>
  </si>
  <si>
    <t>Marge variable</t>
  </si>
  <si>
    <t>tonnes</t>
  </si>
  <si>
    <t>Volume Vente à l'export</t>
  </si>
  <si>
    <t>Frais Fixes</t>
  </si>
  <si>
    <t>Responsable qualité  (250 000 XOF/mois)</t>
  </si>
  <si>
    <t>Responsable Logistique (560 000 XOF/mois)</t>
  </si>
  <si>
    <t>Assistants logistique  (250 000 XOF/mois) X2</t>
  </si>
  <si>
    <t>Responsable commercial (420 000 XOF/mois)</t>
  </si>
  <si>
    <t>Cabinet expert comptable</t>
  </si>
  <si>
    <t>seuil rentabilité</t>
  </si>
  <si>
    <t>export</t>
  </si>
  <si>
    <t xml:space="preserve"> Evaluation des besoins en fonds de roulement</t>
  </si>
  <si>
    <t>Nature des frais à financer</t>
  </si>
  <si>
    <t>Montant</t>
  </si>
  <si>
    <t>Durée</t>
  </si>
  <si>
    <t>Frais financiers</t>
  </si>
  <si>
    <t>jours</t>
  </si>
  <si>
    <t>Tx Bancaire</t>
  </si>
  <si>
    <t>Achat fèves</t>
  </si>
  <si>
    <t>% avance client sur contrat</t>
  </si>
  <si>
    <t xml:space="preserve">Frais de collecte </t>
  </si>
  <si>
    <t>Transport sur site usinage</t>
  </si>
  <si>
    <t>Usinage et sacherie export</t>
  </si>
  <si>
    <t>Transitaire &amp; mise à FOB</t>
  </si>
  <si>
    <t>DUS &amp; parafiscalité</t>
  </si>
  <si>
    <t>Salaires</t>
  </si>
  <si>
    <t>Frais généraux</t>
  </si>
  <si>
    <t>Total BFR démarrage activité export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</si>
</sst>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b/>
      <sz val="11"/>
      <color theme="1"/>
      <name val="Calibri"/>
      <family val="2"/>
      <scheme val="minor"/>
    </font>
    <font>
      <i/>
      <sz val="11"/>
      <color theme="1"/>
      <name val="Calibri"/>
      <family val="2"/>
      <scheme val="minor"/>
    </font>
    <font>
      <i/>
      <sz val="11"/>
      <color theme="3" tint="0.39997558519241921"/>
      <name val="Calibri"/>
      <family val="2"/>
      <scheme val="minor"/>
    </font>
    <font>
      <b/>
      <i/>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b/>
      <sz val="14"/>
      <color theme="1"/>
      <name val="Calibri"/>
      <family val="2"/>
      <scheme val="minor"/>
    </font>
    <font>
      <b/>
      <sz val="12"/>
      <color theme="1"/>
      <name val="Calibri"/>
      <family val="2"/>
      <scheme val="minor"/>
    </font>
    <font>
      <b/>
      <sz val="11"/>
      <color theme="0" tint="-0.499984740745262"/>
      <name val="Calibri"/>
      <family val="2"/>
      <scheme val="minor"/>
    </font>
    <font>
      <sz val="11"/>
      <color theme="0" tint="-0.499984740745262"/>
      <name val="Calibri"/>
      <family val="2"/>
      <scheme val="minor"/>
    </font>
    <font>
      <i/>
      <sz val="1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4" tint="0.79998168889431442"/>
        <bgColor indexed="64"/>
      </patternFill>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9" fontId="5" fillId="0" borderId="0" applyFont="0" applyFill="0" applyBorder="0" applyAlignment="0" applyProtection="0"/>
  </cellStyleXfs>
  <cellXfs count="96">
    <xf numFmtId="0" fontId="0" fillId="0" borderId="0" xfId="0"/>
    <xf numFmtId="3" fontId="0" fillId="0" borderId="0" xfId="0" applyNumberFormat="1"/>
    <xf numFmtId="0" fontId="0" fillId="0" borderId="0" xfId="0" applyAlignment="1">
      <alignment horizontal="left" vertical="center" wrapText="1"/>
    </xf>
    <xf numFmtId="0" fontId="0" fillId="0" borderId="0" xfId="0" applyAlignment="1">
      <alignment vertical="center" wrapText="1"/>
    </xf>
    <xf numFmtId="3" fontId="1" fillId="0" borderId="0" xfId="0" applyNumberFormat="1" applyFont="1"/>
    <xf numFmtId="3" fontId="0" fillId="0" borderId="3" xfId="0" applyNumberFormat="1" applyBorder="1"/>
    <xf numFmtId="3" fontId="0" fillId="0" borderId="4" xfId="0" applyNumberFormat="1" applyBorder="1"/>
    <xf numFmtId="0" fontId="0" fillId="0" borderId="7" xfId="0" applyBorder="1"/>
    <xf numFmtId="3" fontId="0" fillId="0" borderId="7" xfId="0" applyNumberFormat="1" applyBorder="1"/>
    <xf numFmtId="3" fontId="0" fillId="0" borderId="2" xfId="0" applyNumberFormat="1" applyBorder="1"/>
    <xf numFmtId="0" fontId="3" fillId="0" borderId="3" xfId="0" applyFont="1" applyBorder="1"/>
    <xf numFmtId="0" fontId="3" fillId="0" borderId="0" xfId="0" applyFont="1"/>
    <xf numFmtId="3" fontId="3" fillId="0" borderId="0" xfId="0" applyNumberFormat="1" applyFont="1"/>
    <xf numFmtId="0" fontId="0" fillId="0" borderId="4" xfId="0" applyBorder="1"/>
    <xf numFmtId="0" fontId="0" fillId="0" borderId="3" xfId="0" applyBorder="1"/>
    <xf numFmtId="0" fontId="2" fillId="0" borderId="0" xfId="0" applyFont="1"/>
    <xf numFmtId="3" fontId="0" fillId="0" borderId="1" xfId="0" applyNumberFormat="1" applyBorder="1"/>
    <xf numFmtId="3" fontId="3" fillId="0" borderId="3" xfId="0" applyNumberFormat="1" applyFont="1" applyBorder="1"/>
    <xf numFmtId="0" fontId="2" fillId="0" borderId="3" xfId="0" applyFont="1" applyBorder="1"/>
    <xf numFmtId="3" fontId="2" fillId="0" borderId="3" xfId="0" applyNumberFormat="1" applyFont="1" applyBorder="1"/>
    <xf numFmtId="0" fontId="1" fillId="2" borderId="5" xfId="0" applyFont="1" applyFill="1" applyBorder="1"/>
    <xf numFmtId="3" fontId="1" fillId="2" borderId="6" xfId="0" applyNumberFormat="1" applyFont="1" applyFill="1" applyBorder="1"/>
    <xf numFmtId="3" fontId="1" fillId="2" borderId="5" xfId="0" applyNumberFormat="1" applyFont="1" applyFill="1" applyBorder="1"/>
    <xf numFmtId="0" fontId="1" fillId="2" borderId="8" xfId="0" applyFont="1" applyFill="1" applyBorder="1"/>
    <xf numFmtId="3" fontId="4" fillId="2" borderId="5" xfId="0" applyNumberFormat="1" applyFont="1" applyFill="1" applyBorder="1"/>
    <xf numFmtId="10" fontId="0" fillId="0" borderId="0" xfId="1" applyNumberFormat="1" applyFont="1"/>
    <xf numFmtId="3" fontId="0" fillId="3" borderId="7" xfId="0" applyNumberFormat="1" applyFill="1" applyBorder="1" applyAlignment="1">
      <alignment horizontal="center"/>
    </xf>
    <xf numFmtId="3" fontId="0" fillId="3" borderId="2" xfId="0" applyNumberFormat="1" applyFill="1" applyBorder="1" applyAlignment="1">
      <alignment horizontal="center"/>
    </xf>
    <xf numFmtId="3" fontId="2" fillId="3" borderId="11" xfId="0" applyNumberFormat="1" applyFont="1" applyFill="1" applyBorder="1" applyAlignment="1">
      <alignment horizontal="center"/>
    </xf>
    <xf numFmtId="3" fontId="2" fillId="3" borderId="12" xfId="0" applyNumberFormat="1" applyFont="1" applyFill="1" applyBorder="1" applyAlignment="1">
      <alignment horizontal="center"/>
    </xf>
    <xf numFmtId="0" fontId="0" fillId="0" borderId="9" xfId="0" applyBorder="1"/>
    <xf numFmtId="3" fontId="0" fillId="0" borderId="9" xfId="0" applyNumberFormat="1" applyBorder="1" applyAlignment="1">
      <alignment horizontal="right"/>
    </xf>
    <xf numFmtId="3" fontId="0" fillId="0" borderId="9" xfId="0" applyNumberFormat="1" applyBorder="1" applyAlignment="1">
      <alignment horizontal="center"/>
    </xf>
    <xf numFmtId="0" fontId="0" fillId="0" borderId="5" xfId="0" applyBorder="1"/>
    <xf numFmtId="3" fontId="0" fillId="0" borderId="5" xfId="0" applyNumberFormat="1" applyBorder="1" applyAlignment="1">
      <alignment horizontal="center"/>
    </xf>
    <xf numFmtId="3" fontId="0" fillId="0" borderId="9" xfId="0" applyNumberFormat="1" applyBorder="1"/>
    <xf numFmtId="0" fontId="4" fillId="0" borderId="0" xfId="0" applyFont="1"/>
    <xf numFmtId="3" fontId="6" fillId="0" borderId="9" xfId="0" applyNumberFormat="1" applyFont="1" applyBorder="1"/>
    <xf numFmtId="0" fontId="1" fillId="4" borderId="9" xfId="0" applyFont="1" applyFill="1" applyBorder="1"/>
    <xf numFmtId="3" fontId="1" fillId="4" borderId="9" xfId="0" applyNumberFormat="1" applyFont="1" applyFill="1" applyBorder="1"/>
    <xf numFmtId="0" fontId="1" fillId="0" borderId="0" xfId="0" applyFont="1"/>
    <xf numFmtId="3" fontId="0" fillId="0" borderId="13" xfId="0" applyNumberFormat="1" applyBorder="1"/>
    <xf numFmtId="3" fontId="0" fillId="0" borderId="14" xfId="0" applyNumberFormat="1" applyBorder="1"/>
    <xf numFmtId="3" fontId="0" fillId="2" borderId="6" xfId="0" applyNumberFormat="1" applyFill="1" applyBorder="1"/>
    <xf numFmtId="0" fontId="4" fillId="2" borderId="5" xfId="0" applyFont="1" applyFill="1" applyBorder="1"/>
    <xf numFmtId="3" fontId="0" fillId="2" borderId="5" xfId="0" applyNumberFormat="1" applyFill="1" applyBorder="1"/>
    <xf numFmtId="164" fontId="0" fillId="0" borderId="0" xfId="1" applyNumberFormat="1" applyFont="1"/>
    <xf numFmtId="4" fontId="0" fillId="0" borderId="0" xfId="0" applyNumberFormat="1"/>
    <xf numFmtId="3" fontId="1" fillId="2" borderId="9" xfId="0" applyNumberFormat="1" applyFont="1" applyFill="1" applyBorder="1"/>
    <xf numFmtId="0" fontId="0" fillId="0" borderId="0" xfId="0" applyAlignment="1">
      <alignment horizontal="center" vertical="center" wrapText="1"/>
    </xf>
    <xf numFmtId="3" fontId="7" fillId="4" borderId="9" xfId="0" applyNumberFormat="1" applyFont="1" applyFill="1" applyBorder="1"/>
    <xf numFmtId="3" fontId="7" fillId="0" borderId="0" xfId="0" applyNumberFormat="1" applyFont="1"/>
    <xf numFmtId="3" fontId="6" fillId="0" borderId="0" xfId="0" applyNumberFormat="1" applyFont="1"/>
    <xf numFmtId="3" fontId="2" fillId="3" borderId="9" xfId="0" applyNumberFormat="1" applyFont="1" applyFill="1" applyBorder="1" applyAlignment="1">
      <alignment horizontal="center"/>
    </xf>
    <xf numFmtId="0" fontId="1" fillId="0" borderId="9" xfId="0" applyFont="1" applyBorder="1" applyAlignment="1">
      <alignment horizontal="centerContinuous" vertical="center" wrapText="1"/>
    </xf>
    <xf numFmtId="0" fontId="0" fillId="2" borderId="9" xfId="0" applyFill="1" applyBorder="1"/>
    <xf numFmtId="0" fontId="8" fillId="0" borderId="0" xfId="0" applyFont="1" applyAlignment="1">
      <alignment horizontal="centerContinuous" wrapText="1"/>
    </xf>
    <xf numFmtId="0" fontId="0" fillId="0" borderId="0" xfId="0" applyAlignment="1">
      <alignment horizontal="centerContinuous"/>
    </xf>
    <xf numFmtId="0" fontId="9" fillId="0" borderId="0" xfId="0" applyFont="1" applyAlignment="1">
      <alignment horizontal="centerContinuous"/>
    </xf>
    <xf numFmtId="0" fontId="10" fillId="0" borderId="9" xfId="0" applyFont="1" applyBorder="1" applyAlignment="1">
      <alignment horizontal="centerContinuous" vertical="center" wrapText="1"/>
    </xf>
    <xf numFmtId="3" fontId="11" fillId="0" borderId="3" xfId="0" applyNumberFormat="1" applyFont="1" applyBorder="1"/>
    <xf numFmtId="3" fontId="11" fillId="0" borderId="4" xfId="0" applyNumberFormat="1" applyFont="1" applyBorder="1"/>
    <xf numFmtId="3" fontId="2" fillId="0" borderId="0" xfId="0" applyNumberFormat="1" applyFont="1"/>
    <xf numFmtId="3" fontId="1" fillId="0" borderId="1" xfId="0" applyNumberFormat="1" applyFont="1" applyBorder="1" applyAlignment="1">
      <alignment horizontal="center" vertical="center" wrapText="1"/>
    </xf>
    <xf numFmtId="3" fontId="1" fillId="0" borderId="13" xfId="0" applyNumberFormat="1" applyFont="1" applyBorder="1" applyAlignment="1">
      <alignment horizontal="center" vertical="center" wrapText="1"/>
    </xf>
    <xf numFmtId="3" fontId="11" fillId="0" borderId="9" xfId="0" applyNumberFormat="1" applyFont="1" applyBorder="1"/>
    <xf numFmtId="3" fontId="10" fillId="4" borderId="9" xfId="0" applyNumberFormat="1" applyFont="1" applyFill="1" applyBorder="1"/>
    <xf numFmtId="3" fontId="10" fillId="0" borderId="0" xfId="0" applyNumberFormat="1" applyFont="1"/>
    <xf numFmtId="3" fontId="11" fillId="0" borderId="0" xfId="0" applyNumberFormat="1" applyFont="1"/>
    <xf numFmtId="0" fontId="12" fillId="0" borderId="3" xfId="0" applyFont="1" applyBorder="1"/>
    <xf numFmtId="3" fontId="12" fillId="0" borderId="3" xfId="0" applyNumberFormat="1" applyFont="1" applyBorder="1"/>
    <xf numFmtId="0" fontId="7" fillId="0" borderId="1" xfId="0" applyFont="1" applyBorder="1"/>
    <xf numFmtId="0" fontId="1" fillId="0" borderId="1" xfId="0" applyFont="1" applyBorder="1"/>
    <xf numFmtId="0" fontId="1" fillId="0" borderId="3" xfId="0" applyFont="1" applyBorder="1"/>
    <xf numFmtId="0" fontId="7" fillId="0" borderId="3" xfId="0" applyFont="1" applyBorder="1"/>
    <xf numFmtId="0" fontId="8" fillId="0" borderId="0" xfId="0" applyFont="1" applyAlignment="1">
      <alignment horizontal="centerContinuous"/>
    </xf>
    <xf numFmtId="0" fontId="9" fillId="0" borderId="0" xfId="0" applyFont="1"/>
    <xf numFmtId="0" fontId="4" fillId="2" borderId="6" xfId="0" applyFont="1" applyFill="1" applyBorder="1"/>
    <xf numFmtId="0" fontId="7" fillId="0" borderId="2" xfId="0" applyFont="1" applyBorder="1"/>
    <xf numFmtId="0" fontId="12" fillId="0" borderId="4" xfId="0" applyFont="1" applyBorder="1"/>
    <xf numFmtId="0" fontId="1" fillId="0" borderId="4" xfId="0" applyFont="1" applyBorder="1"/>
    <xf numFmtId="0" fontId="7" fillId="0" borderId="4" xfId="0" applyFont="1" applyBorder="1"/>
    <xf numFmtId="0" fontId="0" fillId="0" borderId="10" xfId="0" applyBorder="1"/>
    <xf numFmtId="0" fontId="0" fillId="0" borderId="12" xfId="0" applyBorder="1"/>
    <xf numFmtId="3" fontId="11" fillId="0" borderId="9" xfId="0" applyNumberFormat="1" applyFont="1" applyBorder="1" applyAlignment="1">
      <alignment horizontal="right"/>
    </xf>
    <xf numFmtId="3" fontId="11" fillId="0" borderId="5" xfId="0" applyNumberFormat="1" applyFont="1" applyBorder="1" applyAlignment="1">
      <alignment horizontal="right"/>
    </xf>
    <xf numFmtId="0" fontId="0" fillId="3" borderId="5" xfId="0" applyFill="1" applyBorder="1"/>
    <xf numFmtId="3" fontId="0" fillId="3" borderId="8" xfId="0" applyNumberFormat="1" applyFill="1" applyBorder="1"/>
    <xf numFmtId="3" fontId="11" fillId="0" borderId="6" xfId="0" applyNumberFormat="1" applyFont="1" applyBorder="1"/>
    <xf numFmtId="3" fontId="6" fillId="0" borderId="9" xfId="0" applyNumberFormat="1" applyFont="1" applyBorder="1" applyAlignment="1">
      <alignment horizontal="right"/>
    </xf>
    <xf numFmtId="9" fontId="0" fillId="0" borderId="9" xfId="1" applyFont="1" applyBorder="1"/>
    <xf numFmtId="0" fontId="0" fillId="0" borderId="0" xfId="0" applyAlignment="1">
      <alignment horizontal="center" vertical="center" wrapText="1"/>
    </xf>
    <xf numFmtId="0" fontId="0" fillId="3" borderId="1" xfId="0" applyFill="1" applyBorder="1" applyAlignment="1">
      <alignment horizontal="center" vertical="center"/>
    </xf>
    <xf numFmtId="0" fontId="0" fillId="3" borderId="10" xfId="0" applyFill="1" applyBorder="1" applyAlignment="1">
      <alignment horizontal="center" vertical="center"/>
    </xf>
    <xf numFmtId="3" fontId="0" fillId="0" borderId="8" xfId="0" applyNumberFormat="1" applyBorder="1" applyAlignment="1">
      <alignment horizontal="left"/>
    </xf>
    <xf numFmtId="3" fontId="0" fillId="0" borderId="6" xfId="0" applyNumberFormat="1" applyBorder="1" applyAlignment="1">
      <alignment horizontal="left"/>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15240</xdr:colOff>
      <xdr:row>3</xdr:row>
      <xdr:rowOff>7620</xdr:rowOff>
    </xdr:from>
    <xdr:to>
      <xdr:col>6</xdr:col>
      <xdr:colOff>0</xdr:colOff>
      <xdr:row>4</xdr:row>
      <xdr:rowOff>1257300</xdr:rowOff>
    </xdr:to>
    <xdr:sp macro="" textlink="">
      <xdr:nvSpPr>
        <xdr:cNvPr id="2" name="ZoneTexte 1">
          <a:extLst>
            <a:ext uri="{FF2B5EF4-FFF2-40B4-BE49-F238E27FC236}">
              <a16:creationId xmlns:a16="http://schemas.microsoft.com/office/drawing/2014/main" id="{0B3568DB-757A-47E1-938B-8B0834BEF45A}"/>
            </a:ext>
          </a:extLst>
        </xdr:cNvPr>
        <xdr:cNvSpPr txBox="1"/>
      </xdr:nvSpPr>
      <xdr:spPr>
        <a:xfrm>
          <a:off x="15240" y="434340"/>
          <a:ext cx="6431280" cy="2164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pPr algn="just"/>
          <a:r>
            <a:rPr lang="fr-FR" sz="1100"/>
            <a:t>Cette analyse a pour objectif d'évaluer rapidement la marge nette dégagée par la coopérative dans son activité actuelle</a:t>
          </a:r>
          <a:r>
            <a:rPr lang="fr-FR" sz="1100" baseline="0"/>
            <a:t> (collecte des fèves et ventes à un opérateur local. Cette marge doit servir de base de comparaison à la marge espérée par le développement d'une activité à l'export.</a:t>
          </a:r>
        </a:p>
        <a:p>
          <a:pPr algn="just"/>
          <a:endParaRPr lang="fr-FR" sz="1100" baseline="0"/>
        </a:p>
        <a:p>
          <a:pPr algn="just"/>
          <a:r>
            <a:rPr lang="fr-FR" sz="1100" baseline="0"/>
            <a:t>Les calculs sont ici réalisés sur la base d'une coopérative collectant 5 000 tonnes de cacao/an (le minimum requis pour obtenir un égrément à l'export), disposant du personnel et des investissements communément rencontré au sein de ce type de coopérative.</a:t>
          </a:r>
        </a:p>
        <a:p>
          <a:pPr algn="just"/>
          <a:endParaRPr lang="fr-FR" sz="1100"/>
        </a:p>
        <a:p>
          <a:pPr algn="just"/>
          <a:r>
            <a:rPr lang="fr-FR" sz="1100"/>
            <a:t>Une coopérative</a:t>
          </a:r>
          <a:r>
            <a:rPr lang="fr-FR" sz="1100" baseline="0"/>
            <a:t> pourra utiliser cette feuille Excel comme un outil rapide d'évaluation de sa marge en indiquant le volume qu'elle collecte en  B6,  ses frais de collecte et de transport, ses frais de personnel, les amortissements de ses investissements et ses frais généraux réels en colone D. il est possible de rajouter des lignes.</a:t>
          </a:r>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4</xdr:col>
      <xdr:colOff>15240</xdr:colOff>
      <xdr:row>4</xdr:row>
      <xdr:rowOff>30480</xdr:rowOff>
    </xdr:to>
    <xdr:sp macro="" textlink="">
      <xdr:nvSpPr>
        <xdr:cNvPr id="2" name="ZoneTexte 1">
          <a:extLst>
            <a:ext uri="{FF2B5EF4-FFF2-40B4-BE49-F238E27FC236}">
              <a16:creationId xmlns:a16="http://schemas.microsoft.com/office/drawing/2014/main" id="{D39DD354-D1DC-46EF-ACA9-5B5F385A5B2D}"/>
            </a:ext>
          </a:extLst>
        </xdr:cNvPr>
        <xdr:cNvSpPr txBox="1"/>
      </xdr:nvSpPr>
      <xdr:spPr>
        <a:xfrm>
          <a:off x="0" y="609600"/>
          <a:ext cx="5996940" cy="19354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pPr algn="just"/>
          <a:r>
            <a:rPr lang="fr-FR" sz="1100"/>
            <a:t>Cette analyse a pour objectif d'évaluer rapidement la marge nette dégagée par la coopérative dans un</a:t>
          </a:r>
          <a:r>
            <a:rPr lang="fr-FR" sz="1100" baseline="0"/>
            <a:t> projet de vente à l'exportation en direct</a:t>
          </a:r>
        </a:p>
        <a:p>
          <a:pPr algn="just"/>
          <a:endParaRPr lang="fr-FR" sz="1100" baseline="0"/>
        </a:p>
        <a:p>
          <a:pPr algn="just"/>
          <a:r>
            <a:rPr lang="fr-FR" sz="1100" baseline="0"/>
            <a:t>Les calculs sont ici réalisés sur la base d'une coopérative collectant 5 000 tonnes de cacao/an et exportant 1000 tonnes, disposant du personnel et des investissements communément rencontré au sein de ce type de coopérative.</a:t>
          </a:r>
        </a:p>
        <a:p>
          <a:pPr algn="just"/>
          <a:endParaRPr lang="fr-FR" sz="1100"/>
        </a:p>
        <a:p>
          <a:pPr algn="just"/>
          <a:r>
            <a:rPr lang="fr-FR" sz="1100"/>
            <a:t>Une coopérative</a:t>
          </a:r>
          <a:r>
            <a:rPr lang="fr-FR" sz="1100" baseline="0"/>
            <a:t> pourra utiliser cette feuille Excel comme un outil rapide d'évaluation de sa marge en indiquant le volume qu'elle collecte et qu'elle souhaite exporter en direct en  B36 et B37, ses frais variables , ses frais de personnel, les amortissements de ses investissements et ses frais généraux réels en colone C. II est possible de rajouter des lignes.</a:t>
          </a:r>
          <a:endParaRPr lang="fr-FR"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175260</xdr:rowOff>
    </xdr:from>
    <xdr:to>
      <xdr:col>7</xdr:col>
      <xdr:colOff>0</xdr:colOff>
      <xdr:row>5</xdr:row>
      <xdr:rowOff>7620</xdr:rowOff>
    </xdr:to>
    <xdr:sp macro="" textlink="">
      <xdr:nvSpPr>
        <xdr:cNvPr id="2" name="ZoneTexte 1">
          <a:extLst>
            <a:ext uri="{FF2B5EF4-FFF2-40B4-BE49-F238E27FC236}">
              <a16:creationId xmlns:a16="http://schemas.microsoft.com/office/drawing/2014/main" id="{B1259993-AE20-453D-B065-0158D72DB8A2}"/>
            </a:ext>
          </a:extLst>
        </xdr:cNvPr>
        <xdr:cNvSpPr txBox="1"/>
      </xdr:nvSpPr>
      <xdr:spPr>
        <a:xfrm>
          <a:off x="0" y="601980"/>
          <a:ext cx="7924800" cy="20726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Les besoins en fonds de roulement se calcul automatiquement sur les données renseignées</a:t>
          </a:r>
          <a:r>
            <a:rPr lang="fr-FR" sz="1100" baseline="0"/>
            <a:t> à la page précédentes (en gris sur cette page). Nous avons considéré que la coopérative exporte son contrat de 1000 tonnes en deux livraisons de 500 tonnes chacune, qu'il lui falait 10 jours pour collecter le premier lot et 10 jours de plus pour le deuxième lot, qu'il fallait 30 jours de l'usinage à l'embarquement du lot et que le client payait 5j après présentation des documents. Soit un besoin de financement sur un total de  45 jours </a:t>
          </a:r>
        </a:p>
        <a:p>
          <a:endParaRPr lang="fr-FR" sz="1100" baseline="0"/>
        </a:p>
        <a:p>
          <a:r>
            <a:rPr lang="fr-FR" sz="1100" baseline="0"/>
            <a:t>Une coopérative qui veut évaluer la marge potentielle à l'expot pourra modifier les durée en fonction du temps qu'il lui faudra pour collecter les fèves, les acheminer sur le site d'usinage et les faire usiner ainsi que pour les opérations d'embarquement et les termes de paiement par son client. Elle pourra aussi jouer sur le taux bancaire qu'elle escompte obtenir (G7) et l'éventuelle avance au démarrage obtenue du client (G8). le total des frais financiers liés au finacement du BFR (D19) sont reportés automatiquement dans la page précédente.</a:t>
          </a:r>
          <a:endParaRPr lang="fr-FR"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468D-42D8-4CD4-B32F-DE7CDA641082}">
  <dimension ref="A1:J45"/>
  <sheetViews>
    <sheetView tabSelected="1" workbookViewId="0">
      <selection activeCell="L5" sqref="L5"/>
    </sheetView>
  </sheetViews>
  <sheetFormatPr defaultColWidth="11.42578125" defaultRowHeight="15" x14ac:dyDescent="0.25"/>
  <cols>
    <col min="1" max="1" width="42.140625" bestFit="1" customWidth="1"/>
    <col min="4" max="4" width="9.85546875" bestFit="1" customWidth="1"/>
    <col min="6" max="6" width="7.42578125" customWidth="1"/>
    <col min="7" max="7" width="9.85546875" customWidth="1"/>
    <col min="9" max="9" width="4.5703125" customWidth="1"/>
    <col min="10" max="10" width="2.85546875" hidden="1" customWidth="1"/>
  </cols>
  <sheetData>
    <row r="1" spans="1:10" ht="18.75" x14ac:dyDescent="0.3">
      <c r="A1" s="56" t="s">
        <v>0</v>
      </c>
      <c r="B1" s="56"/>
      <c r="C1" s="56"/>
      <c r="D1" s="56"/>
      <c r="E1" s="56"/>
      <c r="F1" s="57"/>
    </row>
    <row r="2" spans="1:10" ht="15.75" x14ac:dyDescent="0.25">
      <c r="A2" s="58" t="s">
        <v>1</v>
      </c>
      <c r="B2" s="58"/>
      <c r="C2" s="58"/>
      <c r="D2" s="58"/>
      <c r="E2" s="58"/>
      <c r="F2" s="57"/>
    </row>
    <row r="3" spans="1:10" ht="15.75" x14ac:dyDescent="0.25">
      <c r="A3" s="58"/>
      <c r="B3" s="58"/>
      <c r="C3" s="58"/>
      <c r="D3" s="58"/>
      <c r="E3" s="58"/>
      <c r="F3" s="57"/>
    </row>
    <row r="4" spans="1:10" ht="72" customHeight="1" x14ac:dyDescent="0.25"/>
    <row r="5" spans="1:10" ht="100.35" customHeight="1" x14ac:dyDescent="0.25"/>
    <row r="7" spans="1:10" x14ac:dyDescent="0.25">
      <c r="A7" s="55" t="s">
        <v>2</v>
      </c>
      <c r="B7" s="30">
        <v>5000</v>
      </c>
    </row>
    <row r="9" spans="1:10" x14ac:dyDescent="0.25">
      <c r="B9" s="59" t="s">
        <v>3</v>
      </c>
      <c r="C9" s="59"/>
      <c r="D9" s="54" t="s">
        <v>4</v>
      </c>
      <c r="E9" s="54"/>
      <c r="F9" s="3"/>
    </row>
    <row r="10" spans="1:10" ht="14.45" customHeight="1" x14ac:dyDescent="0.25">
      <c r="A10" t="s">
        <v>5</v>
      </c>
      <c r="B10" s="60">
        <v>55000</v>
      </c>
      <c r="C10" s="61"/>
      <c r="D10" s="5">
        <v>52760</v>
      </c>
      <c r="E10" s="6"/>
      <c r="F10" s="1"/>
      <c r="G10" s="3"/>
      <c r="H10" s="3"/>
      <c r="I10" s="3"/>
      <c r="J10" s="3"/>
    </row>
    <row r="11" spans="1:10" x14ac:dyDescent="0.25">
      <c r="A11" t="s">
        <v>6</v>
      </c>
      <c r="B11" s="60">
        <v>15000</v>
      </c>
      <c r="C11" s="61"/>
      <c r="D11" s="5">
        <v>16000</v>
      </c>
      <c r="E11" s="6"/>
      <c r="F11" s="1"/>
      <c r="G11" s="3"/>
      <c r="H11" s="3"/>
      <c r="I11" s="3"/>
      <c r="J11" s="3"/>
    </row>
    <row r="12" spans="1:10" x14ac:dyDescent="0.25">
      <c r="A12" s="20" t="s">
        <v>7</v>
      </c>
      <c r="B12" s="20"/>
      <c r="C12" s="21">
        <v>25000</v>
      </c>
      <c r="D12" s="22"/>
      <c r="E12" s="21">
        <f>C12+B10-D10+B11-D11</f>
        <v>26240</v>
      </c>
      <c r="F12" s="4" t="s">
        <v>8</v>
      </c>
      <c r="G12" s="3"/>
      <c r="H12" s="3"/>
      <c r="I12" s="3"/>
      <c r="J12" s="3"/>
    </row>
    <row r="13" spans="1:10" x14ac:dyDescent="0.25">
      <c r="C13" s="1"/>
      <c r="D13" s="1"/>
      <c r="E13" s="1"/>
      <c r="F13" s="1"/>
      <c r="G13" s="2"/>
      <c r="H13" s="2"/>
      <c r="I13" s="2"/>
      <c r="J13" s="2"/>
    </row>
    <row r="14" spans="1:10" ht="14.45" customHeight="1" x14ac:dyDescent="0.25">
      <c r="A14" s="72" t="s">
        <v>9</v>
      </c>
      <c r="B14" s="7"/>
      <c r="C14" s="8"/>
      <c r="D14" s="16"/>
      <c r="E14" s="9">
        <f>SUM(D15:D20)</f>
        <v>5564</v>
      </c>
      <c r="F14" s="1" t="s">
        <v>8</v>
      </c>
      <c r="G14" s="91" t="s">
        <v>10</v>
      </c>
      <c r="H14" s="91"/>
      <c r="I14" s="91"/>
      <c r="J14" s="91"/>
    </row>
    <row r="15" spans="1:10" x14ac:dyDescent="0.25">
      <c r="A15" s="18" t="s">
        <v>11</v>
      </c>
      <c r="B15" s="15"/>
      <c r="C15" s="62"/>
      <c r="D15" s="19">
        <f>ROUND(840000*13/B7,0)</f>
        <v>2184</v>
      </c>
      <c r="E15" s="13"/>
      <c r="G15" s="91"/>
      <c r="H15" s="91"/>
      <c r="I15" s="91"/>
      <c r="J15" s="91"/>
    </row>
    <row r="16" spans="1:10" x14ac:dyDescent="0.25">
      <c r="A16" s="18" t="s">
        <v>12</v>
      </c>
      <c r="B16" s="15"/>
      <c r="C16" s="62"/>
      <c r="D16" s="19">
        <f>ROUND(420000*13/B7,-1)</f>
        <v>1090</v>
      </c>
      <c r="E16" s="13"/>
      <c r="G16" s="91"/>
      <c r="H16" s="91"/>
      <c r="I16" s="91"/>
      <c r="J16" s="91"/>
    </row>
    <row r="17" spans="1:10" x14ac:dyDescent="0.25">
      <c r="A17" s="18" t="s">
        <v>13</v>
      </c>
      <c r="B17" s="15"/>
      <c r="C17" s="62"/>
      <c r="D17" s="19">
        <f>ROUND(3*210000*13/B7,-1)</f>
        <v>1640</v>
      </c>
      <c r="E17" s="13"/>
      <c r="G17" s="91"/>
      <c r="H17" s="91"/>
      <c r="I17" s="91"/>
      <c r="J17" s="91"/>
    </row>
    <row r="18" spans="1:10" x14ac:dyDescent="0.25">
      <c r="A18" s="18" t="s">
        <v>14</v>
      </c>
      <c r="B18" s="15"/>
      <c r="C18" s="62"/>
      <c r="D18" s="19">
        <f>ROUND(250000*13/B7,-1)</f>
        <v>650</v>
      </c>
      <c r="E18" s="13"/>
      <c r="G18" s="91"/>
      <c r="H18" s="91"/>
      <c r="I18" s="91"/>
      <c r="J18" s="91"/>
    </row>
    <row r="19" spans="1:10" x14ac:dyDescent="0.25">
      <c r="A19" s="10"/>
      <c r="B19" s="11"/>
      <c r="C19" s="12"/>
      <c r="D19" s="17"/>
      <c r="E19" s="13"/>
      <c r="G19" s="91"/>
      <c r="H19" s="91"/>
      <c r="I19" s="91"/>
      <c r="J19" s="91"/>
    </row>
    <row r="20" spans="1:10" x14ac:dyDescent="0.25">
      <c r="A20" s="10"/>
      <c r="B20" s="11"/>
      <c r="C20" s="12"/>
      <c r="D20" s="17"/>
      <c r="E20" s="13"/>
      <c r="G20" s="91"/>
      <c r="H20" s="91"/>
      <c r="I20" s="91"/>
      <c r="J20" s="91"/>
    </row>
    <row r="21" spans="1:10" x14ac:dyDescent="0.25">
      <c r="A21" s="73" t="s">
        <v>15</v>
      </c>
      <c r="C21" s="1"/>
      <c r="D21" s="5"/>
      <c r="E21" s="6">
        <f>SUM(D22:D25)</f>
        <v>4660</v>
      </c>
      <c r="F21" s="1" t="s">
        <v>8</v>
      </c>
      <c r="G21" s="91"/>
      <c r="H21" s="91"/>
      <c r="I21" s="91"/>
      <c r="J21" s="91"/>
    </row>
    <row r="22" spans="1:10" x14ac:dyDescent="0.25">
      <c r="A22" s="18" t="s">
        <v>16</v>
      </c>
      <c r="D22" s="19">
        <f>ROUND(50000000/(20*B7),-1)</f>
        <v>500</v>
      </c>
      <c r="E22" s="13"/>
      <c r="G22" s="91"/>
      <c r="H22" s="91"/>
      <c r="I22" s="91"/>
      <c r="J22" s="91"/>
    </row>
    <row r="23" spans="1:10" x14ac:dyDescent="0.25">
      <c r="A23" s="18" t="s">
        <v>17</v>
      </c>
      <c r="D23" s="19">
        <f>ROUND(100000000/(5*B7),-1)</f>
        <v>4000</v>
      </c>
      <c r="E23" s="13"/>
      <c r="G23" s="91"/>
      <c r="H23" s="91"/>
      <c r="I23" s="91"/>
      <c r="J23" s="91"/>
    </row>
    <row r="24" spans="1:10" x14ac:dyDescent="0.25">
      <c r="A24" s="18" t="s">
        <v>18</v>
      </c>
      <c r="B24" s="15"/>
      <c r="C24" s="15"/>
      <c r="D24" s="19">
        <f>ROUND(2400000/(3*B7),-1)</f>
        <v>160</v>
      </c>
      <c r="E24" s="13"/>
      <c r="G24" s="91"/>
      <c r="H24" s="91"/>
      <c r="I24" s="91"/>
      <c r="J24" s="91"/>
    </row>
    <row r="25" spans="1:10" x14ac:dyDescent="0.25">
      <c r="A25" s="10"/>
      <c r="B25" s="11"/>
      <c r="C25" s="11"/>
      <c r="D25" s="17"/>
      <c r="E25" s="13"/>
      <c r="G25" s="91"/>
      <c r="H25" s="91"/>
      <c r="I25" s="91"/>
      <c r="J25" s="91"/>
    </row>
    <row r="26" spans="1:10" x14ac:dyDescent="0.25">
      <c r="A26" s="74" t="s">
        <v>19</v>
      </c>
      <c r="B26" s="11"/>
      <c r="C26" s="11"/>
      <c r="D26" s="17"/>
      <c r="E26" s="13"/>
      <c r="G26" s="91"/>
      <c r="H26" s="91"/>
      <c r="I26" s="91"/>
      <c r="J26" s="91"/>
    </row>
    <row r="27" spans="1:10" x14ac:dyDescent="0.25">
      <c r="A27" s="14" t="s">
        <v>20</v>
      </c>
      <c r="B27" s="15"/>
      <c r="C27" s="15"/>
      <c r="D27" s="14"/>
      <c r="E27" s="6">
        <f>(200000*12)/B7</f>
        <v>480</v>
      </c>
      <c r="F27" s="1" t="s">
        <v>8</v>
      </c>
      <c r="G27" s="91"/>
      <c r="H27" s="91"/>
      <c r="I27" s="91"/>
      <c r="J27" s="91"/>
    </row>
    <row r="28" spans="1:10" x14ac:dyDescent="0.25">
      <c r="A28" s="14" t="s">
        <v>21</v>
      </c>
      <c r="B28" s="15"/>
      <c r="C28" s="15"/>
      <c r="D28" s="18"/>
      <c r="E28" s="6">
        <f>ROUND(((25000*3+300000)*12)/B7,-1)</f>
        <v>900</v>
      </c>
      <c r="F28" s="1" t="s">
        <v>8</v>
      </c>
      <c r="G28" s="91"/>
      <c r="H28" s="91"/>
      <c r="I28" s="91"/>
      <c r="J28" s="91"/>
    </row>
    <row r="29" spans="1:10" x14ac:dyDescent="0.25">
      <c r="A29" s="14" t="s">
        <v>22</v>
      </c>
      <c r="D29" s="19"/>
      <c r="E29" s="6">
        <f>ROUND((100000*12+SUM(E14:E28)*0.1)/B7,-1)</f>
        <v>240</v>
      </c>
      <c r="F29" s="1" t="s">
        <v>8</v>
      </c>
      <c r="G29" s="91"/>
      <c r="H29" s="91"/>
      <c r="I29" s="91"/>
      <c r="J29" s="91"/>
    </row>
    <row r="30" spans="1:10" x14ac:dyDescent="0.25">
      <c r="A30" s="18" t="s">
        <v>23</v>
      </c>
      <c r="D30" s="19"/>
      <c r="E30" s="13"/>
      <c r="G30" s="91"/>
      <c r="H30" s="91"/>
      <c r="I30" s="91"/>
      <c r="J30" s="91"/>
    </row>
    <row r="31" spans="1:10" x14ac:dyDescent="0.25">
      <c r="A31" s="10"/>
      <c r="D31" s="19"/>
      <c r="E31" s="13"/>
      <c r="G31" s="49"/>
      <c r="H31" s="49"/>
      <c r="I31" s="49"/>
      <c r="J31" s="49"/>
    </row>
    <row r="32" spans="1:10" x14ac:dyDescent="0.25">
      <c r="A32" s="10"/>
      <c r="D32" s="19"/>
      <c r="E32" s="13"/>
      <c r="G32" s="49"/>
      <c r="H32" s="49"/>
      <c r="I32" s="49"/>
      <c r="J32" s="49"/>
    </row>
    <row r="33" spans="1:8" x14ac:dyDescent="0.25">
      <c r="A33" s="20" t="s">
        <v>24</v>
      </c>
      <c r="B33" s="23"/>
      <c r="C33" s="23"/>
      <c r="D33" s="24"/>
      <c r="E33" s="21">
        <f>SUM(E14:E32)</f>
        <v>11844</v>
      </c>
      <c r="F33" s="4" t="s">
        <v>8</v>
      </c>
    </row>
    <row r="34" spans="1:8" x14ac:dyDescent="0.25">
      <c r="A34" s="20" t="s">
        <v>25</v>
      </c>
      <c r="B34" s="23"/>
      <c r="C34" s="23"/>
      <c r="D34" s="24"/>
      <c r="E34" s="21">
        <f>E12-E33</f>
        <v>14396</v>
      </c>
      <c r="F34" s="4" t="s">
        <v>8</v>
      </c>
      <c r="H34" s="25"/>
    </row>
    <row r="36" spans="1:8" x14ac:dyDescent="0.25">
      <c r="D36" s="1"/>
      <c r="E36" s="1"/>
      <c r="F36" s="1"/>
      <c r="G36" s="1"/>
      <c r="H36" s="1"/>
    </row>
    <row r="37" spans="1:8" x14ac:dyDescent="0.25">
      <c r="D37" s="1"/>
      <c r="E37" s="1"/>
      <c r="F37" s="1"/>
      <c r="G37" s="1"/>
      <c r="H37" s="1"/>
    </row>
    <row r="38" spans="1:8" x14ac:dyDescent="0.25">
      <c r="D38" s="1"/>
      <c r="E38" s="1"/>
      <c r="F38" s="1"/>
      <c r="G38" s="1"/>
      <c r="H38" s="1"/>
    </row>
    <row r="39" spans="1:8" x14ac:dyDescent="0.25">
      <c r="D39" s="1"/>
      <c r="E39" s="1"/>
      <c r="F39" s="1"/>
      <c r="G39" s="1"/>
      <c r="H39" s="1"/>
    </row>
    <row r="40" spans="1:8" x14ac:dyDescent="0.25">
      <c r="D40" s="1"/>
      <c r="E40" s="1"/>
      <c r="F40" s="1"/>
      <c r="G40" s="1"/>
      <c r="H40" s="1"/>
    </row>
    <row r="41" spans="1:8" x14ac:dyDescent="0.25">
      <c r="B41" s="1"/>
      <c r="C41" s="1"/>
      <c r="D41" s="1"/>
      <c r="E41" s="1"/>
      <c r="F41" s="1"/>
      <c r="G41" s="1"/>
      <c r="H41" s="1"/>
    </row>
    <row r="42" spans="1:8" x14ac:dyDescent="0.25">
      <c r="B42" s="1"/>
      <c r="C42" s="1"/>
      <c r="D42" s="1"/>
      <c r="E42" s="1"/>
      <c r="F42" s="1"/>
      <c r="G42" s="1"/>
      <c r="H42" s="1"/>
    </row>
    <row r="43" spans="1:8" x14ac:dyDescent="0.25">
      <c r="B43" s="1"/>
      <c r="C43" s="1"/>
      <c r="D43" s="1"/>
      <c r="E43" s="1"/>
      <c r="F43" s="1"/>
      <c r="G43" s="1"/>
      <c r="H43" s="1"/>
    </row>
    <row r="44" spans="1:8" x14ac:dyDescent="0.25">
      <c r="B44" s="1"/>
      <c r="C44" s="1"/>
      <c r="D44" s="1"/>
      <c r="E44" s="1"/>
      <c r="F44" s="1"/>
      <c r="G44" s="1"/>
      <c r="H44" s="1"/>
    </row>
    <row r="45" spans="1:8" x14ac:dyDescent="0.25">
      <c r="B45" s="1"/>
      <c r="C45" s="1"/>
      <c r="D45" s="1"/>
      <c r="E45" s="1"/>
      <c r="F45" s="1"/>
      <c r="G45" s="1"/>
      <c r="H45" s="1"/>
    </row>
  </sheetData>
  <mergeCells count="1">
    <mergeCell ref="G14:J30"/>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1FA82-A204-476F-A4EA-F8D1278B3C6C}">
  <dimension ref="A1:H79"/>
  <sheetViews>
    <sheetView zoomScaleNormal="100" workbookViewId="0">
      <selection activeCell="E1" sqref="E1"/>
    </sheetView>
  </sheetViews>
  <sheetFormatPr defaultColWidth="11.42578125" defaultRowHeight="15" x14ac:dyDescent="0.25"/>
  <cols>
    <col min="1" max="1" width="40.5703125" customWidth="1"/>
    <col min="2" max="2" width="17.42578125" style="1" customWidth="1"/>
    <col min="3" max="3" width="17.5703125" style="1" customWidth="1"/>
  </cols>
  <sheetData>
    <row r="1" spans="1:6" ht="18.75" x14ac:dyDescent="0.3">
      <c r="A1" s="75" t="s">
        <v>0</v>
      </c>
      <c r="B1" s="75"/>
      <c r="C1" s="75"/>
      <c r="D1" s="75"/>
      <c r="E1" s="56"/>
      <c r="F1" s="57"/>
    </row>
    <row r="2" spans="1:6" ht="15.75" x14ac:dyDescent="0.25">
      <c r="A2" s="58" t="s">
        <v>26</v>
      </c>
      <c r="B2" s="58"/>
      <c r="C2" s="58"/>
      <c r="D2" s="58"/>
      <c r="E2" s="76"/>
      <c r="F2" s="57"/>
    </row>
    <row r="4" spans="1:6" ht="150" customHeight="1" x14ac:dyDescent="0.25"/>
    <row r="6" spans="1:6" x14ac:dyDescent="0.25">
      <c r="B6" s="63" t="s">
        <v>3</v>
      </c>
      <c r="C6" s="64" t="s">
        <v>4</v>
      </c>
      <c r="D6" s="3"/>
    </row>
    <row r="7" spans="1:6" x14ac:dyDescent="0.25">
      <c r="A7" t="s">
        <v>27</v>
      </c>
      <c r="B7" s="65">
        <f>1228748+229000</f>
        <v>1457748</v>
      </c>
      <c r="C7" s="37">
        <f>B7</f>
        <v>1457748</v>
      </c>
      <c r="D7" s="1" t="s">
        <v>8</v>
      </c>
    </row>
    <row r="8" spans="1:6" x14ac:dyDescent="0.25">
      <c r="A8" t="s">
        <v>28</v>
      </c>
      <c r="B8" s="65">
        <f>15000</f>
        <v>15000</v>
      </c>
      <c r="C8" s="37">
        <f>B8</f>
        <v>15000</v>
      </c>
      <c r="D8" s="1" t="s">
        <v>8</v>
      </c>
    </row>
    <row r="9" spans="1:6" x14ac:dyDescent="0.25">
      <c r="A9" s="38" t="s">
        <v>29</v>
      </c>
      <c r="B9" s="66">
        <f>SUM(B7:B8)</f>
        <v>1472748</v>
      </c>
      <c r="C9" s="50">
        <f>SUM(C7:C8)</f>
        <v>1472748</v>
      </c>
      <c r="D9" s="4" t="s">
        <v>8</v>
      </c>
    </row>
    <row r="10" spans="1:6" x14ac:dyDescent="0.25">
      <c r="A10" s="40"/>
      <c r="B10" s="67"/>
      <c r="C10" s="51"/>
    </row>
    <row r="11" spans="1:6" x14ac:dyDescent="0.25">
      <c r="A11" s="36" t="s">
        <v>30</v>
      </c>
      <c r="B11" s="68"/>
      <c r="C11" s="52"/>
    </row>
    <row r="12" spans="1:6" x14ac:dyDescent="0.25">
      <c r="A12" s="30" t="s">
        <v>31</v>
      </c>
      <c r="B12" s="65">
        <v>1000000</v>
      </c>
      <c r="C12" s="37">
        <v>1000000</v>
      </c>
      <c r="D12" s="1" t="s">
        <v>8</v>
      </c>
    </row>
    <row r="13" spans="1:6" x14ac:dyDescent="0.25">
      <c r="A13" s="30" t="s">
        <v>32</v>
      </c>
      <c r="B13" s="65">
        <v>55000</v>
      </c>
      <c r="C13" s="37">
        <v>52760</v>
      </c>
      <c r="D13" s="1" t="s">
        <v>8</v>
      </c>
    </row>
    <row r="14" spans="1:6" x14ac:dyDescent="0.25">
      <c r="A14" s="36" t="s">
        <v>33</v>
      </c>
      <c r="B14" s="68"/>
      <c r="C14" s="52"/>
    </row>
    <row r="15" spans="1:6" x14ac:dyDescent="0.25">
      <c r="A15" s="30" t="s">
        <v>34</v>
      </c>
      <c r="B15" s="65">
        <v>15000</v>
      </c>
      <c r="C15" s="37">
        <v>16000</v>
      </c>
      <c r="D15" s="1" t="s">
        <v>8</v>
      </c>
    </row>
    <row r="16" spans="1:6" x14ac:dyDescent="0.25">
      <c r="A16" s="30" t="s">
        <v>33</v>
      </c>
      <c r="B16" s="65">
        <f>12000+1000</f>
        <v>13000</v>
      </c>
      <c r="C16" s="37">
        <v>14000</v>
      </c>
      <c r="D16" s="1" t="s">
        <v>8</v>
      </c>
    </row>
    <row r="17" spans="1:8" x14ac:dyDescent="0.25">
      <c r="A17" s="30" t="s">
        <v>35</v>
      </c>
      <c r="B17" s="65">
        <v>14769</v>
      </c>
      <c r="C17" s="37">
        <f>B17</f>
        <v>14769</v>
      </c>
      <c r="D17" s="1" t="s">
        <v>8</v>
      </c>
    </row>
    <row r="18" spans="1:8" x14ac:dyDescent="0.25">
      <c r="A18" s="30" t="s">
        <v>36</v>
      </c>
      <c r="B18" s="65">
        <f>1080000*0.01</f>
        <v>10800</v>
      </c>
      <c r="C18" s="37">
        <f>SUM(C12:C16)*0.01</f>
        <v>10827.6</v>
      </c>
      <c r="D18" s="1" t="s">
        <v>8</v>
      </c>
    </row>
    <row r="19" spans="1:8" x14ac:dyDescent="0.25">
      <c r="A19" s="36" t="s">
        <v>37</v>
      </c>
      <c r="B19" s="68"/>
      <c r="C19" s="52"/>
    </row>
    <row r="20" spans="1:8" x14ac:dyDescent="0.25">
      <c r="A20" s="30" t="s">
        <v>38</v>
      </c>
      <c r="B20" s="65">
        <v>800</v>
      </c>
      <c r="C20" s="37">
        <f t="shared" ref="C20:C26" si="0">B20</f>
        <v>800</v>
      </c>
      <c r="D20" s="1" t="s">
        <v>8</v>
      </c>
      <c r="H20" s="46"/>
    </row>
    <row r="21" spans="1:8" x14ac:dyDescent="0.25">
      <c r="A21" s="30" t="s">
        <v>39</v>
      </c>
      <c r="B21" s="65">
        <v>3186</v>
      </c>
      <c r="C21" s="37">
        <f t="shared" si="0"/>
        <v>3186</v>
      </c>
      <c r="D21" s="1" t="s">
        <v>8</v>
      </c>
    </row>
    <row r="22" spans="1:8" x14ac:dyDescent="0.25">
      <c r="A22" s="30" t="s">
        <v>40</v>
      </c>
      <c r="B22" s="65">
        <v>4704</v>
      </c>
      <c r="C22" s="37">
        <f t="shared" si="0"/>
        <v>4704</v>
      </c>
      <c r="D22" s="1" t="s">
        <v>8</v>
      </c>
    </row>
    <row r="23" spans="1:8" x14ac:dyDescent="0.25">
      <c r="A23" s="30" t="s">
        <v>41</v>
      </c>
      <c r="B23" s="65">
        <f>B7*0.146*0.003</f>
        <v>638.49362399999995</v>
      </c>
      <c r="C23" s="37">
        <f t="shared" si="0"/>
        <v>638.49362399999995</v>
      </c>
      <c r="D23" s="1" t="s">
        <v>8</v>
      </c>
    </row>
    <row r="24" spans="1:8" x14ac:dyDescent="0.25">
      <c r="A24" s="30" t="s">
        <v>42</v>
      </c>
      <c r="B24" s="65">
        <f>B7*0.00025</f>
        <v>364.43700000000001</v>
      </c>
      <c r="C24" s="37">
        <f t="shared" si="0"/>
        <v>364.43700000000001</v>
      </c>
      <c r="D24" s="1" t="s">
        <v>8</v>
      </c>
    </row>
    <row r="25" spans="1:8" x14ac:dyDescent="0.25">
      <c r="A25" s="30" t="s">
        <v>43</v>
      </c>
      <c r="B25" s="65">
        <v>31960</v>
      </c>
      <c r="C25" s="37">
        <f t="shared" si="0"/>
        <v>31960</v>
      </c>
      <c r="D25" s="1" t="s">
        <v>8</v>
      </c>
    </row>
    <row r="26" spans="1:8" x14ac:dyDescent="0.25">
      <c r="A26" s="30" t="s">
        <v>44</v>
      </c>
      <c r="B26" s="65">
        <v>19900</v>
      </c>
      <c r="C26" s="37">
        <f t="shared" si="0"/>
        <v>19900</v>
      </c>
      <c r="D26" s="1" t="s">
        <v>8</v>
      </c>
    </row>
    <row r="27" spans="1:8" x14ac:dyDescent="0.25">
      <c r="A27" s="36" t="s">
        <v>45</v>
      </c>
      <c r="B27" s="68"/>
      <c r="C27" s="52"/>
    </row>
    <row r="28" spans="1:8" x14ac:dyDescent="0.25">
      <c r="A28" s="30" t="s">
        <v>46</v>
      </c>
      <c r="B28" s="65">
        <f>B7*0.146</f>
        <v>212831.20799999998</v>
      </c>
      <c r="C28" s="37">
        <f>C7*0.146</f>
        <v>212831.20799999998</v>
      </c>
      <c r="D28" s="1" t="s">
        <v>8</v>
      </c>
    </row>
    <row r="29" spans="1:8" x14ac:dyDescent="0.25">
      <c r="A29" s="30" t="s">
        <v>47</v>
      </c>
      <c r="B29" s="65">
        <f>B7*0.015</f>
        <v>21866.219999999998</v>
      </c>
      <c r="C29" s="37">
        <f>C7*0.015</f>
        <v>21866.219999999998</v>
      </c>
      <c r="D29" s="1" t="s">
        <v>8</v>
      </c>
    </row>
    <row r="30" spans="1:8" x14ac:dyDescent="0.25">
      <c r="A30" s="30" t="s">
        <v>48</v>
      </c>
      <c r="B30" s="65">
        <f>B7*0.01945</f>
        <v>28353.198599999996</v>
      </c>
      <c r="C30" s="37">
        <f>C7*0.01945</f>
        <v>28353.198599999996</v>
      </c>
      <c r="D30" s="1" t="s">
        <v>8</v>
      </c>
    </row>
    <row r="31" spans="1:8" x14ac:dyDescent="0.25">
      <c r="A31" s="36" t="s">
        <v>49</v>
      </c>
      <c r="B31" s="68"/>
      <c r="D31" s="1"/>
    </row>
    <row r="32" spans="1:8" x14ac:dyDescent="0.25">
      <c r="A32" s="30" t="s">
        <v>50</v>
      </c>
      <c r="B32" s="65">
        <f>SUM(B12:B13)*0.088*15/360+10237+1770</f>
        <v>15875.333333333334</v>
      </c>
      <c r="C32" s="35">
        <f>'Calcul du BFR'!D19</f>
        <v>19757.764029998219</v>
      </c>
      <c r="D32" s="1" t="s">
        <v>8</v>
      </c>
    </row>
    <row r="33" spans="1:5" x14ac:dyDescent="0.25">
      <c r="A33" s="38" t="s">
        <v>51</v>
      </c>
      <c r="B33" s="66">
        <f>SUM(B12:B32)</f>
        <v>1449047.8905573331</v>
      </c>
      <c r="C33" s="39">
        <f>SUM(C12:C32)</f>
        <v>1452717.9212539983</v>
      </c>
      <c r="D33" s="4" t="s">
        <v>8</v>
      </c>
    </row>
    <row r="34" spans="1:5" x14ac:dyDescent="0.25">
      <c r="A34" s="38" t="s">
        <v>52</v>
      </c>
      <c r="B34" s="66">
        <f>B9-B33</f>
        <v>23700.109442666871</v>
      </c>
      <c r="C34" s="39">
        <f>C9-C33</f>
        <v>20030.078746001702</v>
      </c>
      <c r="D34" s="4" t="s">
        <v>8</v>
      </c>
    </row>
    <row r="36" spans="1:5" x14ac:dyDescent="0.25">
      <c r="A36" s="55" t="s">
        <v>2</v>
      </c>
      <c r="B36" s="30">
        <v>5000</v>
      </c>
      <c r="C36" s="1" t="s">
        <v>53</v>
      </c>
    </row>
    <row r="37" spans="1:5" x14ac:dyDescent="0.25">
      <c r="A37" s="55" t="s">
        <v>54</v>
      </c>
      <c r="B37" s="30">
        <v>1000</v>
      </c>
      <c r="C37" s="1" t="s">
        <v>53</v>
      </c>
    </row>
    <row r="39" spans="1:5" x14ac:dyDescent="0.25">
      <c r="A39" s="44" t="s">
        <v>55</v>
      </c>
      <c r="B39" s="77"/>
      <c r="C39" s="45"/>
      <c r="D39" s="43"/>
    </row>
    <row r="40" spans="1:5" x14ac:dyDescent="0.25">
      <c r="A40" s="71" t="s">
        <v>9</v>
      </c>
      <c r="B40" s="78"/>
      <c r="C40" s="16"/>
      <c r="D40" s="41">
        <f>SUM(C41:C51)</f>
        <v>10064</v>
      </c>
      <c r="E40" s="1" t="s">
        <v>8</v>
      </c>
    </row>
    <row r="41" spans="1:5" x14ac:dyDescent="0.25">
      <c r="A41" s="69" t="s">
        <v>11</v>
      </c>
      <c r="B41" s="79"/>
      <c r="C41" s="70">
        <f>ROUND(840000*13/B36,0)</f>
        <v>2184</v>
      </c>
      <c r="D41" s="42"/>
    </row>
    <row r="42" spans="1:5" x14ac:dyDescent="0.25">
      <c r="A42" s="69" t="s">
        <v>12</v>
      </c>
      <c r="B42" s="79"/>
      <c r="C42" s="70">
        <f>ROUND(420000*13/B36,-1)</f>
        <v>1090</v>
      </c>
      <c r="D42" s="42"/>
    </row>
    <row r="43" spans="1:5" x14ac:dyDescent="0.25">
      <c r="A43" s="69" t="s">
        <v>13</v>
      </c>
      <c r="B43" s="79"/>
      <c r="C43" s="70">
        <f>ROUND(3*210000*13/B36,-1)</f>
        <v>1640</v>
      </c>
      <c r="D43" s="42"/>
    </row>
    <row r="44" spans="1:5" x14ac:dyDescent="0.25">
      <c r="A44" s="69" t="s">
        <v>14</v>
      </c>
      <c r="B44" s="79"/>
      <c r="C44" s="70">
        <f>ROUND(250000*13/B36,-1)</f>
        <v>650</v>
      </c>
      <c r="D44" s="42"/>
    </row>
    <row r="45" spans="1:5" x14ac:dyDescent="0.25">
      <c r="A45" s="69" t="s">
        <v>56</v>
      </c>
      <c r="B45" s="79"/>
      <c r="C45" s="70">
        <f>ROUND(250000*13/B36,-1)</f>
        <v>650</v>
      </c>
      <c r="D45" s="42"/>
    </row>
    <row r="46" spans="1:5" x14ac:dyDescent="0.25">
      <c r="A46" s="69" t="s">
        <v>57</v>
      </c>
      <c r="B46" s="79"/>
      <c r="C46" s="70">
        <f>ROUND(560000*13/B36,-1)</f>
        <v>1460</v>
      </c>
      <c r="D46" s="42"/>
    </row>
    <row r="47" spans="1:5" x14ac:dyDescent="0.25">
      <c r="A47" s="69" t="s">
        <v>58</v>
      </c>
      <c r="B47" s="79"/>
      <c r="C47" s="70">
        <f>ROUND(2*250000*13/B36,-1)</f>
        <v>1300</v>
      </c>
      <c r="D47" s="42"/>
    </row>
    <row r="48" spans="1:5" x14ac:dyDescent="0.25">
      <c r="A48" s="69" t="s">
        <v>59</v>
      </c>
      <c r="B48" s="79"/>
      <c r="C48" s="70">
        <f>ROUND(420000*13/B36,-1)</f>
        <v>1090</v>
      </c>
      <c r="D48" s="42"/>
    </row>
    <row r="49" spans="1:5" x14ac:dyDescent="0.25">
      <c r="A49" s="69"/>
      <c r="B49" s="79"/>
      <c r="C49" s="70"/>
      <c r="D49" s="42"/>
    </row>
    <row r="50" spans="1:5" x14ac:dyDescent="0.25">
      <c r="A50" s="69"/>
      <c r="B50" s="79"/>
      <c r="C50" s="70"/>
      <c r="D50" s="42"/>
    </row>
    <row r="51" spans="1:5" x14ac:dyDescent="0.25">
      <c r="A51" s="69"/>
      <c r="B51" s="79"/>
      <c r="C51" s="70"/>
      <c r="D51" s="42"/>
    </row>
    <row r="52" spans="1:5" x14ac:dyDescent="0.25">
      <c r="A52" s="73" t="s">
        <v>15</v>
      </c>
      <c r="B52" s="80"/>
      <c r="C52" s="5"/>
      <c r="D52" s="42">
        <f>SUM(C53:C56)</f>
        <v>4660</v>
      </c>
      <c r="E52" s="1" t="s">
        <v>8</v>
      </c>
    </row>
    <row r="53" spans="1:5" x14ac:dyDescent="0.25">
      <c r="A53" s="69" t="s">
        <v>16</v>
      </c>
      <c r="B53" s="79"/>
      <c r="C53" s="70">
        <f>ROUND(50000000/(20*B36),-1)</f>
        <v>500</v>
      </c>
      <c r="D53" s="42"/>
    </row>
    <row r="54" spans="1:5" x14ac:dyDescent="0.25">
      <c r="A54" s="69" t="s">
        <v>17</v>
      </c>
      <c r="B54" s="79"/>
      <c r="C54" s="70">
        <f>ROUND(100000000/(5*B36),-1)</f>
        <v>4000</v>
      </c>
      <c r="D54" s="42"/>
    </row>
    <row r="55" spans="1:5" x14ac:dyDescent="0.25">
      <c r="A55" s="69" t="s">
        <v>18</v>
      </c>
      <c r="B55" s="79"/>
      <c r="C55" s="70">
        <f>ROUND(2400000/(3*B36),-1)</f>
        <v>160</v>
      </c>
      <c r="D55" s="42"/>
    </row>
    <row r="56" spans="1:5" x14ac:dyDescent="0.25">
      <c r="A56" s="69"/>
      <c r="B56" s="79"/>
      <c r="C56" s="17"/>
      <c r="D56" s="42"/>
    </row>
    <row r="57" spans="1:5" x14ac:dyDescent="0.25">
      <c r="A57" s="74" t="s">
        <v>19</v>
      </c>
      <c r="B57" s="81"/>
      <c r="C57" s="17"/>
      <c r="D57" s="42"/>
    </row>
    <row r="58" spans="1:5" x14ac:dyDescent="0.25">
      <c r="A58" s="14" t="s">
        <v>20</v>
      </c>
      <c r="B58" s="13"/>
      <c r="C58" s="5"/>
      <c r="D58" s="42">
        <f>(200000*12)/B36</f>
        <v>480</v>
      </c>
      <c r="E58" s="1" t="s">
        <v>8</v>
      </c>
    </row>
    <row r="59" spans="1:5" x14ac:dyDescent="0.25">
      <c r="A59" s="14" t="s">
        <v>21</v>
      </c>
      <c r="B59" s="13"/>
      <c r="C59" s="5"/>
      <c r="D59" s="42">
        <f>ROUND(((25000*3+300000)*12)/B36,-1)</f>
        <v>900</v>
      </c>
      <c r="E59" s="1" t="s">
        <v>8</v>
      </c>
    </row>
    <row r="60" spans="1:5" x14ac:dyDescent="0.25">
      <c r="A60" s="14" t="s">
        <v>60</v>
      </c>
      <c r="B60" s="13"/>
      <c r="C60" s="5"/>
      <c r="D60" s="42">
        <f>ROUND(((25000*3+300000)*12)/B36,-1)</f>
        <v>900</v>
      </c>
      <c r="E60" s="1" t="s">
        <v>8</v>
      </c>
    </row>
    <row r="61" spans="1:5" x14ac:dyDescent="0.25">
      <c r="A61" s="14" t="s">
        <v>22</v>
      </c>
      <c r="B61" s="13"/>
      <c r="C61" s="5"/>
      <c r="D61" s="42">
        <f>ROUND(((25000*3+300000)*12)/B36,-1)</f>
        <v>900</v>
      </c>
      <c r="E61" s="1" t="s">
        <v>8</v>
      </c>
    </row>
    <row r="62" spans="1:5" x14ac:dyDescent="0.25">
      <c r="A62" s="14" t="s">
        <v>23</v>
      </c>
      <c r="B62" s="13"/>
      <c r="C62" s="5"/>
      <c r="D62" s="42">
        <f>ROUND((100000*12+SUM(D40:D61)*0.1+250000*12)/B36,-1)</f>
        <v>840</v>
      </c>
      <c r="E62" s="1" t="s">
        <v>8</v>
      </c>
    </row>
    <row r="63" spans="1:5" x14ac:dyDescent="0.25">
      <c r="A63" s="14"/>
      <c r="B63" s="13"/>
      <c r="C63" s="5"/>
      <c r="D63" s="42"/>
    </row>
    <row r="64" spans="1:5" x14ac:dyDescent="0.25">
      <c r="A64" s="82"/>
      <c r="B64" s="83"/>
      <c r="C64" s="5"/>
      <c r="D64" s="42"/>
    </row>
    <row r="65" spans="1:5" x14ac:dyDescent="0.25">
      <c r="A65" s="20" t="s">
        <v>24</v>
      </c>
      <c r="B65" s="23"/>
      <c r="C65" s="43"/>
      <c r="D65" s="48">
        <f>SUM(D40:D64)</f>
        <v>18744</v>
      </c>
      <c r="E65" s="4" t="s">
        <v>8</v>
      </c>
    </row>
    <row r="66" spans="1:5" x14ac:dyDescent="0.25">
      <c r="A66" s="20" t="s">
        <v>25</v>
      </c>
      <c r="B66" s="23"/>
      <c r="C66" s="43"/>
      <c r="D66" s="48">
        <f>C34-D65</f>
        <v>1286.0787460017018</v>
      </c>
      <c r="E66" s="4" t="s">
        <v>8</v>
      </c>
    </row>
    <row r="68" spans="1:5" x14ac:dyDescent="0.25">
      <c r="C68" s="46"/>
    </row>
    <row r="77" spans="1:5" x14ac:dyDescent="0.25">
      <c r="A77" t="s">
        <v>61</v>
      </c>
      <c r="C77" s="1">
        <f>D65/C34*1000</f>
        <v>935.79262656376613</v>
      </c>
      <c r="D77" t="s">
        <v>62</v>
      </c>
    </row>
    <row r="79" spans="1:5" x14ac:dyDescent="0.25">
      <c r="C79" s="47"/>
    </row>
  </sheetData>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B50C6-3A80-46A9-9908-BB3A159346F3}">
  <dimension ref="A1:G19"/>
  <sheetViews>
    <sheetView workbookViewId="0">
      <selection activeCell="H1" sqref="H1"/>
    </sheetView>
  </sheetViews>
  <sheetFormatPr defaultColWidth="11.42578125" defaultRowHeight="15" x14ac:dyDescent="0.25"/>
  <cols>
    <col min="1" max="1" width="31.42578125" customWidth="1"/>
    <col min="2" max="4" width="12.5703125" style="1" customWidth="1"/>
    <col min="6" max="6" width="23.42578125" customWidth="1"/>
  </cols>
  <sheetData>
    <row r="1" spans="1:7" ht="18.75" x14ac:dyDescent="0.3">
      <c r="A1" s="75" t="s">
        <v>0</v>
      </c>
      <c r="B1" s="75"/>
      <c r="C1" s="75"/>
      <c r="D1" s="75"/>
      <c r="E1" s="57"/>
      <c r="F1" s="57"/>
    </row>
    <row r="2" spans="1:7" ht="15.75" x14ac:dyDescent="0.25">
      <c r="A2" s="58" t="s">
        <v>63</v>
      </c>
      <c r="B2" s="58"/>
      <c r="C2" s="58"/>
      <c r="D2" s="58"/>
      <c r="E2" s="57"/>
      <c r="F2" s="57"/>
    </row>
    <row r="4" spans="1:7" ht="73.7" customHeight="1" x14ac:dyDescent="0.25"/>
    <row r="5" spans="1:7" ht="72" customHeight="1" x14ac:dyDescent="0.25"/>
    <row r="7" spans="1:7" x14ac:dyDescent="0.25">
      <c r="A7" s="92" t="s">
        <v>64</v>
      </c>
      <c r="B7" s="26" t="s">
        <v>65</v>
      </c>
      <c r="C7" s="26" t="s">
        <v>66</v>
      </c>
      <c r="D7" s="27" t="s">
        <v>67</v>
      </c>
    </row>
    <row r="8" spans="1:7" x14ac:dyDescent="0.25">
      <c r="A8" s="93"/>
      <c r="B8" s="28" t="s">
        <v>8</v>
      </c>
      <c r="C8" s="28" t="s">
        <v>68</v>
      </c>
      <c r="D8" s="29" t="s">
        <v>8</v>
      </c>
      <c r="F8" s="53" t="s">
        <v>69</v>
      </c>
      <c r="G8" s="90">
        <v>0.13</v>
      </c>
    </row>
    <row r="9" spans="1:7" x14ac:dyDescent="0.25">
      <c r="A9" s="30" t="s">
        <v>70</v>
      </c>
      <c r="B9" s="89">
        <f>'marge variable export'!C12*(1-$G$9)</f>
        <v>1000000</v>
      </c>
      <c r="C9" s="32">
        <v>45</v>
      </c>
      <c r="D9" s="31">
        <f>B9*$G$8*C9/360</f>
        <v>16250</v>
      </c>
      <c r="E9" s="1" t="s">
        <v>8</v>
      </c>
      <c r="F9" s="53" t="s">
        <v>71</v>
      </c>
      <c r="G9" s="90">
        <v>0</v>
      </c>
    </row>
    <row r="10" spans="1:7" x14ac:dyDescent="0.25">
      <c r="A10" s="30" t="s">
        <v>72</v>
      </c>
      <c r="B10" s="84">
        <f>'marge variable export'!C13*(1-$G$9)</f>
        <v>52760</v>
      </c>
      <c r="C10" s="32">
        <v>45</v>
      </c>
      <c r="D10" s="31">
        <f t="shared" ref="D10:D17" si="0">B10*0.8*$G$8*C10/360</f>
        <v>685.88</v>
      </c>
      <c r="E10" s="1" t="s">
        <v>8</v>
      </c>
    </row>
    <row r="11" spans="1:7" x14ac:dyDescent="0.25">
      <c r="A11" s="30" t="s">
        <v>73</v>
      </c>
      <c r="B11" s="84">
        <f>'marge variable export'!C15*(1-$G$9)</f>
        <v>16000</v>
      </c>
      <c r="C11" s="32">
        <v>45</v>
      </c>
      <c r="D11" s="31">
        <f t="shared" si="0"/>
        <v>208</v>
      </c>
      <c r="E11" s="1" t="s">
        <v>8</v>
      </c>
    </row>
    <row r="12" spans="1:7" x14ac:dyDescent="0.25">
      <c r="A12" s="30" t="s">
        <v>74</v>
      </c>
      <c r="B12" s="84">
        <f>'marge variable export'!C16+'marge variable export'!C17*(1-$G$9)</f>
        <v>28769</v>
      </c>
      <c r="C12" s="32">
        <v>35</v>
      </c>
      <c r="D12" s="31">
        <f t="shared" si="0"/>
        <v>290.88655555555556</v>
      </c>
      <c r="E12" s="1" t="s">
        <v>8</v>
      </c>
    </row>
    <row r="13" spans="1:7" x14ac:dyDescent="0.25">
      <c r="A13" s="30" t="s">
        <v>38</v>
      </c>
      <c r="B13" s="84">
        <f>'marge variable export'!C20*(1-$G$9)</f>
        <v>800</v>
      </c>
      <c r="C13" s="32">
        <v>25</v>
      </c>
      <c r="D13" s="31">
        <f t="shared" si="0"/>
        <v>5.7777777777777777</v>
      </c>
      <c r="E13" s="1" t="s">
        <v>8</v>
      </c>
    </row>
    <row r="14" spans="1:7" x14ac:dyDescent="0.25">
      <c r="A14" s="30" t="s">
        <v>75</v>
      </c>
      <c r="B14" s="84">
        <f>SUM('marge variable export'!C21:C26)*(1-$G$9)</f>
        <v>60752.930624000001</v>
      </c>
      <c r="C14" s="32">
        <v>35</v>
      </c>
      <c r="D14" s="31">
        <f t="shared" si="0"/>
        <v>614.27963186488887</v>
      </c>
      <c r="E14" s="1" t="s">
        <v>8</v>
      </c>
    </row>
    <row r="15" spans="1:7" x14ac:dyDescent="0.25">
      <c r="A15" s="30" t="s">
        <v>76</v>
      </c>
      <c r="B15" s="84">
        <f>SUM('marge variable export'!C28:C30)*(1-$G$9)</f>
        <v>263050.62659999996</v>
      </c>
      <c r="C15" s="32">
        <v>20</v>
      </c>
      <c r="D15" s="31">
        <f t="shared" si="0"/>
        <v>1519.8480647999997</v>
      </c>
      <c r="E15" s="1" t="s">
        <v>8</v>
      </c>
    </row>
    <row r="16" spans="1:7" x14ac:dyDescent="0.25">
      <c r="A16" s="30" t="s">
        <v>77</v>
      </c>
      <c r="B16" s="84">
        <f>SUM('marge variable export'!D40)*(1-$G$9)</f>
        <v>10064</v>
      </c>
      <c r="C16" s="32">
        <v>45</v>
      </c>
      <c r="D16" s="31">
        <f t="shared" si="0"/>
        <v>130.83200000000002</v>
      </c>
      <c r="E16" s="1" t="s">
        <v>8</v>
      </c>
    </row>
    <row r="17" spans="1:5" x14ac:dyDescent="0.25">
      <c r="A17" s="30" t="s">
        <v>78</v>
      </c>
      <c r="B17" s="84">
        <f>SUM('marge variable export'!D58:D64)*(1-$G$9)</f>
        <v>4020</v>
      </c>
      <c r="C17" s="32">
        <v>45</v>
      </c>
      <c r="D17" s="31">
        <f t="shared" si="0"/>
        <v>52.260000000000005</v>
      </c>
      <c r="E17" s="1" t="s">
        <v>8</v>
      </c>
    </row>
    <row r="18" spans="1:5" x14ac:dyDescent="0.25">
      <c r="A18" s="33" t="s">
        <v>79</v>
      </c>
      <c r="B18" s="85">
        <f>SUM(B9:B17)</f>
        <v>1436216.5572239999</v>
      </c>
      <c r="C18" s="94" t="s">
        <v>8</v>
      </c>
      <c r="D18" s="95"/>
    </row>
    <row r="19" spans="1:5" x14ac:dyDescent="0.25">
      <c r="A19" s="86" t="s">
        <v>67</v>
      </c>
      <c r="B19" s="87"/>
      <c r="C19" s="34" t="s">
        <v>8</v>
      </c>
      <c r="D19" s="88">
        <f>SUM(D9:D17)</f>
        <v>19757.764029998219</v>
      </c>
      <c r="E19" s="1" t="s">
        <v>8</v>
      </c>
    </row>
  </sheetData>
  <mergeCells count="2">
    <mergeCell ref="A7:A8"/>
    <mergeCell ref="C18:D18"/>
  </mergeCells>
  <pageMargins left="0.7" right="0.7" top="0.75" bottom="0.75"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ateetheure xmlns="787c53e0-4a20-4e48-a392-e77c236ff77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7A3FAFC65E2D44D974DFD46918CD9F4" ma:contentTypeVersion="14" ma:contentTypeDescription="Create a new document." ma:contentTypeScope="" ma:versionID="7676bffacc5a54c6440ca31f3dc07542">
  <xsd:schema xmlns:xsd="http://www.w3.org/2001/XMLSchema" xmlns:xs="http://www.w3.org/2001/XMLSchema" xmlns:p="http://schemas.microsoft.com/office/2006/metadata/properties" xmlns:ns2="787c53e0-4a20-4e48-a392-e77c236ff770" xmlns:ns3="fc5877df-3038-4d1c-bf20-3fbfb66392ef" targetNamespace="http://schemas.microsoft.com/office/2006/metadata/properties" ma:root="true" ma:fieldsID="cb69420fe09800abd7fb599bc5a5d674" ns2:_="" ns3:_="">
    <xsd:import namespace="787c53e0-4a20-4e48-a392-e77c236ff770"/>
    <xsd:import namespace="fc5877df-3038-4d1c-bf20-3fbfb66392e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MediaServiceLocation" minOccurs="0"/>
                <xsd:element ref="ns3:SharedWithUsers" minOccurs="0"/>
                <xsd:element ref="ns3:SharedWithDetails" minOccurs="0"/>
                <xsd:element ref="ns2:Dateetheu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7c53e0-4a20-4e48-a392-e77c236ff7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Dateetheure" ma:index="21" nillable="true" ma:displayName="Date et heure" ma:format="DateOnly" ma:internalName="Dateetheur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c5877df-3038-4d1c-bf20-3fbfb66392e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30F178-0D95-4018-836E-FCA93F582BF2}">
  <ds:schemaRefs>
    <ds:schemaRef ds:uri="http://schemas.microsoft.com/sharepoint/v3/contenttype/forms"/>
  </ds:schemaRefs>
</ds:datastoreItem>
</file>

<file path=customXml/itemProps2.xml><?xml version="1.0" encoding="utf-8"?>
<ds:datastoreItem xmlns:ds="http://schemas.openxmlformats.org/officeDocument/2006/customXml" ds:itemID="{9411CBD3-41B7-4927-8250-02DB80C3F7C0}">
  <ds:schemaRefs>
    <ds:schemaRef ds:uri="http://www.w3.org/XML/1998/namespace"/>
    <ds:schemaRef ds:uri="http://schemas.microsoft.com/office/2006/documentManagement/types"/>
    <ds:schemaRef ds:uri="http://purl.org/dc/terms/"/>
    <ds:schemaRef ds:uri="http://purl.org/dc/dcmitype/"/>
    <ds:schemaRef ds:uri="fc5877df-3038-4d1c-bf20-3fbfb66392ef"/>
    <ds:schemaRef ds:uri="http://schemas.microsoft.com/office/2006/metadata/properties"/>
    <ds:schemaRef ds:uri="787c53e0-4a20-4e48-a392-e77c236ff770"/>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1B58AE95-7CA2-44A5-9752-0A7FCA9578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7c53e0-4a20-4e48-a392-e77c236ff770"/>
    <ds:schemaRef ds:uri="fc5877df-3038-4d1c-bf20-3fbfb66392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Marge variable vente locale</vt:lpstr>
      <vt:lpstr>marge variable export</vt:lpstr>
      <vt:lpstr>Calcul du BFR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Fambolena</dc:creator>
  <cp:keywords/>
  <dc:description/>
  <cp:lastModifiedBy>DESANTOINE, Mathieu</cp:lastModifiedBy>
  <cp:revision/>
  <dcterms:created xsi:type="dcterms:W3CDTF">2021-09-28T08:58:17Z</dcterms:created>
  <dcterms:modified xsi:type="dcterms:W3CDTF">2022-02-10T10:21:22Z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0x01010077A3FAFC65E2D44D974DFD46918CD9F4</vt:lpwstr>
  </property>
</Properties>
</file>